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91" windowWidth="7860" windowHeight="8745" firstSheet="1" activeTab="1"/>
  </bookViews>
  <sheets>
    <sheet name="Insulation - Electric Heating" sheetId="1" r:id="rId1"/>
    <sheet name="Insulation - Gas Heating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<sst xmlns="http://schemas.openxmlformats.org/spreadsheetml/2006/main" count="82" uniqueCount="49">
  <si>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>per KwH</t>
  </si>
  <si>
    <t>Existing</t>
  </si>
  <si>
    <t>New</t>
  </si>
  <si>
    <t xml:space="preserve">Payback </t>
  </si>
  <si>
    <t>years</t>
  </si>
  <si>
    <t>RESULTS:</t>
  </si>
  <si>
    <t>(Enter your data in Yellow Tab for analysis)</t>
  </si>
  <si>
    <t>Annual Energy Savings</t>
  </si>
  <si>
    <t xml:space="preserve">Existing R-Value </t>
  </si>
  <si>
    <t xml:space="preserve">New R-Value </t>
  </si>
  <si>
    <t>ENERGY USAGE/PAYBACK CALCULATOR FOR INSULATION/DOOR/WINDOW</t>
  </si>
  <si>
    <t>HDD65</t>
  </si>
  <si>
    <t>CDD50</t>
  </si>
  <si>
    <t>Douglas</t>
  </si>
  <si>
    <t>Flagstaff</t>
  </si>
  <si>
    <t>Kingman</t>
  </si>
  <si>
    <t>Nogales</t>
  </si>
  <si>
    <t>Phoenix</t>
  </si>
  <si>
    <t>Prescott</t>
  </si>
  <si>
    <t>Tucson</t>
  </si>
  <si>
    <t>Winslow</t>
  </si>
  <si>
    <t>Yuma</t>
  </si>
  <si>
    <t>Annual Energy Loss (Kwh)</t>
  </si>
  <si>
    <t>Energy Cost (Electricity)</t>
  </si>
  <si>
    <t>Energy Cost (Gas)</t>
  </si>
  <si>
    <t>Rate of Inflation (Electricity)</t>
  </si>
  <si>
    <t>Rate of Inflation (Gas)</t>
  </si>
  <si>
    <t>per Therm</t>
  </si>
  <si>
    <t xml:space="preserve"> </t>
  </si>
  <si>
    <t>Area (Wall/Roof/Window/Door)</t>
  </si>
  <si>
    <t xml:space="preserve">Cost of added insulation/window/door </t>
  </si>
  <si>
    <t>per sf</t>
  </si>
  <si>
    <t xml:space="preserve">Annual Energy Cost (Heating) </t>
  </si>
  <si>
    <t xml:space="preserve">Annual Energy Cost (Cooling) </t>
  </si>
  <si>
    <t xml:space="preserve">Energy Cost (15 Years) </t>
  </si>
  <si>
    <t xml:space="preserve">Total Annual Energy Cost </t>
  </si>
  <si>
    <t xml:space="preserve"> Energy Savings (15 Years)</t>
  </si>
  <si>
    <r>
      <t xml:space="preserve">Annual Energy Cost </t>
    </r>
    <r>
      <rPr>
        <sz val="10"/>
        <rFont val="Arial"/>
        <family val="2"/>
      </rPr>
      <t xml:space="preserve"> </t>
    </r>
  </si>
  <si>
    <t>Cooling Degree Days - CDD50 (Use value from table)*</t>
  </si>
  <si>
    <t>Heating Degree Days - HDD65 (Use value from table)*</t>
  </si>
  <si>
    <t xml:space="preserve">             *Table HDD/CDD</t>
  </si>
  <si>
    <t xml:space="preserve">      *Table HDD/CDD</t>
  </si>
  <si>
    <t>Heating Degree Days-HDD65 (Use value from table)*</t>
  </si>
  <si>
    <t>Cooling Degree Days-CDD50 (Use value from table)*</t>
  </si>
  <si>
    <t>sf</t>
  </si>
  <si>
    <t>Note: The calculator can be used to analyse wall, roof, windows or windows. Please analyse each component separately.</t>
  </si>
  <si>
    <t>The calculation assumes 20% heat loss/gain through infiltration</t>
  </si>
  <si>
    <t xml:space="preserve">Please contact  ASFB if you need help determining HDD </t>
  </si>
  <si>
    <t>and CDD for your area not listed above.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</si>
</sst>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0;[Red]#,##0.0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&quot;$&quot;#,##0.0;[Red]&quot;$&quot;#,##0.0"/>
    <numFmt numFmtId="177" formatCode="&quot;$&quot;#,##0;[Red]&quot;$&quot;#,##0"/>
    <numFmt numFmtId="178" formatCode="_(* #,##0.000_);_(* \(#,##0.000\);_(* &quot;-&quot;??_);_(@_)"/>
    <numFmt numFmtId="179" formatCode="_(* #,##0.0_);_(* \(#,##0.0\);_(* &quot;-&quot;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3" fontId="1" fillId="2" borderId="1" xfId="15" applyFont="1" applyFill="1" applyBorder="1" applyAlignment="1">
      <alignment horizontal="center"/>
    </xf>
    <xf numFmtId="164" fontId="1" fillId="2" borderId="1" xfId="15" applyNumberFormat="1" applyFont="1" applyFill="1" applyBorder="1" applyAlignment="1">
      <alignment horizontal="right"/>
    </xf>
    <xf numFmtId="164" fontId="1" fillId="2" borderId="2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0" xfId="0" applyFont="1" applyAlignment="1">
      <alignment horizontal="right"/>
    </xf>
    <xf numFmtId="164" fontId="0" fillId="2" borderId="1" xfId="15" applyNumberFormat="1" applyFont="1" applyFill="1" applyBorder="1" applyAlignment="1">
      <alignment horizontal="right"/>
    </xf>
    <xf numFmtId="9" fontId="0" fillId="0" borderId="0" xfId="19" applyAlignment="1">
      <alignment/>
    </xf>
    <xf numFmtId="43" fontId="0" fillId="0" borderId="1" xfId="0" applyNumberFormat="1" applyBorder="1" applyAlignment="1">
      <alignment horizontal="left"/>
    </xf>
    <xf numFmtId="171" fontId="1" fillId="2" borderId="1" xfId="0" applyNumberFormat="1" applyFont="1" applyFill="1" applyBorder="1" applyAlignment="1">
      <alignment horizontal="right"/>
    </xf>
    <xf numFmtId="175" fontId="1" fillId="2" borderId="1" xfId="0" applyNumberFormat="1" applyFont="1" applyFill="1" applyBorder="1" applyAlignment="1">
      <alignment horizontal="right"/>
    </xf>
    <xf numFmtId="177" fontId="1" fillId="2" borderId="1" xfId="0" applyNumberFormat="1" applyFont="1" applyFill="1" applyBorder="1" applyAlignment="1">
      <alignment horizontal="right"/>
    </xf>
    <xf numFmtId="177" fontId="1" fillId="2" borderId="3" xfId="0" applyNumberFormat="1" applyFont="1" applyFill="1" applyBorder="1" applyAlignment="1">
      <alignment horizontal="right"/>
    </xf>
    <xf numFmtId="175" fontId="0" fillId="3" borderId="1" xfId="15" applyNumberFormat="1" applyFill="1" applyBorder="1" applyAlignment="1" applyProtection="1">
      <alignment horizontal="center"/>
      <protection locked="0"/>
    </xf>
    <xf numFmtId="175" fontId="0" fillId="3" borderId="4" xfId="15" applyNumberFormat="1" applyFill="1" applyBorder="1" applyAlignment="1" applyProtection="1">
      <alignment horizontal="center"/>
      <protection locked="0"/>
    </xf>
    <xf numFmtId="10" fontId="0" fillId="3" borderId="1" xfId="19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75" fontId="0" fillId="0" borderId="1" xfId="15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72" fontId="0" fillId="3" borderId="1" xfId="19" applyNumberForma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6"/>
  <sheetViews>
    <sheetView workbookViewId="0" topLeftCell="A1">
      <selection activeCell="J31" sqref="J31"/>
    </sheetView>
  </sheetViews>
  <sheetFormatPr defaultColWidth="9.140625" defaultRowHeight="12.75"/>
  <cols>
    <col min="1" max="1" width="45.421875" style="0" customWidth="1"/>
    <col min="2" max="2" width="18.7109375" style="3" bestFit="1" customWidth="1"/>
    <col min="3" max="3" width="12.8515625" style="0" bestFit="1" customWidth="1"/>
    <col min="5" max="5" width="14.421875" style="0" bestFit="1" customWidth="1"/>
    <col min="6" max="6" width="12.28125" style="0" customWidth="1"/>
    <col min="8" max="8" width="13.8515625" style="0" hidden="1" customWidth="1"/>
    <col min="9" max="9" width="12.7109375" style="0" hidden="1" customWidth="1"/>
  </cols>
  <sheetData>
    <row r="2" ht="12.75">
      <c r="A2" s="2" t="s">
        <v>10</v>
      </c>
    </row>
    <row r="3" ht="12.75">
      <c r="A3" s="39" t="s">
        <v>45</v>
      </c>
    </row>
    <row r="4" ht="12.75">
      <c r="A4" s="39" t="s">
        <v>46</v>
      </c>
    </row>
    <row r="5" ht="12.75">
      <c r="A5" t="s">
        <v>6</v>
      </c>
    </row>
    <row r="6" ht="12.75">
      <c r="B6" s="7"/>
    </row>
    <row r="7" spans="1:2" ht="12.75">
      <c r="A7" t="s">
        <v>8</v>
      </c>
      <c r="B7" s="31">
        <v>9</v>
      </c>
    </row>
    <row r="8" spans="1:2" ht="12.75">
      <c r="A8" t="s">
        <v>9</v>
      </c>
      <c r="B8" s="31">
        <v>19</v>
      </c>
    </row>
    <row r="9" spans="1:3" ht="12.75">
      <c r="A9" t="s">
        <v>29</v>
      </c>
      <c r="B9" s="31">
        <v>150000</v>
      </c>
      <c r="C9" t="s">
        <v>44</v>
      </c>
    </row>
    <row r="10" ht="14.25" customHeight="1">
      <c r="B10" s="7"/>
    </row>
    <row r="11" spans="2:6" ht="12.75">
      <c r="B11" s="7"/>
      <c r="E11" s="1" t="s">
        <v>40</v>
      </c>
      <c r="F11" s="1"/>
    </row>
    <row r="12" spans="1:6" ht="12.75">
      <c r="A12" t="s">
        <v>39</v>
      </c>
      <c r="B12" s="32">
        <v>1350</v>
      </c>
      <c r="E12" s="36" t="s">
        <v>11</v>
      </c>
      <c r="F12" s="37" t="s">
        <v>12</v>
      </c>
    </row>
    <row r="13" spans="1:6" ht="12.75">
      <c r="A13" t="s">
        <v>38</v>
      </c>
      <c r="B13" s="31">
        <v>8425</v>
      </c>
      <c r="D13" s="21" t="s">
        <v>13</v>
      </c>
      <c r="E13" s="35">
        <v>2767</v>
      </c>
      <c r="F13" s="35">
        <v>4786</v>
      </c>
    </row>
    <row r="14" spans="2:6" ht="12.75">
      <c r="B14" s="7"/>
      <c r="C14" t="s">
        <v>28</v>
      </c>
      <c r="D14" s="21" t="s">
        <v>14</v>
      </c>
      <c r="E14" s="35">
        <v>7131</v>
      </c>
      <c r="F14" s="35">
        <v>1661</v>
      </c>
    </row>
    <row r="15" spans="2:36" ht="12.75">
      <c r="B15" s="7"/>
      <c r="D15" s="21" t="s">
        <v>15</v>
      </c>
      <c r="E15" s="35">
        <v>3212</v>
      </c>
      <c r="F15" s="35">
        <v>5040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6" ht="12.75">
      <c r="A16" t="s">
        <v>23</v>
      </c>
      <c r="B16" s="34">
        <v>0.1</v>
      </c>
      <c r="C16" t="s">
        <v>0</v>
      </c>
      <c r="D16" s="21" t="s">
        <v>16</v>
      </c>
      <c r="E16" s="35">
        <v>2928</v>
      </c>
      <c r="F16" s="35">
        <v>4554</v>
      </c>
    </row>
    <row r="17" spans="1:6" ht="12.75">
      <c r="A17" t="s">
        <v>25</v>
      </c>
      <c r="B17" s="33">
        <v>0.03</v>
      </c>
      <c r="D17" s="21" t="s">
        <v>17</v>
      </c>
      <c r="E17" s="35">
        <v>1350</v>
      </c>
      <c r="F17" s="35">
        <v>8425</v>
      </c>
    </row>
    <row r="18" spans="2:6" ht="12.75">
      <c r="B18" s="8"/>
      <c r="D18" s="21" t="s">
        <v>18</v>
      </c>
      <c r="E18" s="35">
        <v>4995</v>
      </c>
      <c r="F18" s="35">
        <v>2875</v>
      </c>
    </row>
    <row r="19" spans="2:6" ht="12.75">
      <c r="B19" s="20"/>
      <c r="D19" s="22" t="s">
        <v>19</v>
      </c>
      <c r="E19" s="35">
        <v>1678</v>
      </c>
      <c r="F19" s="35">
        <v>6921</v>
      </c>
    </row>
    <row r="20" spans="1:6" ht="12.75">
      <c r="A20" t="s">
        <v>30</v>
      </c>
      <c r="B20" s="34">
        <v>7.5</v>
      </c>
      <c r="C20" t="s">
        <v>31</v>
      </c>
      <c r="D20" s="21" t="s">
        <v>20</v>
      </c>
      <c r="E20" s="35">
        <v>4776</v>
      </c>
      <c r="F20" s="35">
        <v>3681</v>
      </c>
    </row>
    <row r="21" spans="2:6" ht="12.75">
      <c r="B21" s="7"/>
      <c r="D21" s="21" t="s">
        <v>21</v>
      </c>
      <c r="E21" s="35">
        <v>927</v>
      </c>
      <c r="F21" s="35">
        <v>8897</v>
      </c>
    </row>
    <row r="24" spans="1:3" ht="12.75">
      <c r="A24" s="4" t="s">
        <v>5</v>
      </c>
      <c r="B24" s="19"/>
      <c r="C24" s="19"/>
    </row>
    <row r="25" spans="2:3" ht="12.75">
      <c r="B25" s="12" t="s">
        <v>1</v>
      </c>
      <c r="C25" s="11" t="s">
        <v>2</v>
      </c>
    </row>
    <row r="26" spans="1:9" ht="12.75">
      <c r="A26" s="10" t="s">
        <v>22</v>
      </c>
      <c r="B26" s="16">
        <f aca="true" t="shared" si="0" ref="B26:C28">H26</f>
        <v>1374743.627307354</v>
      </c>
      <c r="C26" s="16">
        <f t="shared" si="0"/>
        <v>651194.3497771678</v>
      </c>
      <c r="H26" s="16">
        <f>B9*((1/B7*B12*24+1/B7*B13*24)+0.2*(1/B7*B12*24+1/B7*B13*24))/3413</f>
        <v>1374743.627307354</v>
      </c>
      <c r="I26" s="16">
        <f>B9*((1/B8*B12*24+1/B8*B13*24)+0.2*(1/B8*B12*24+1/B8*B13*24))/3413</f>
        <v>651194.3497771678</v>
      </c>
    </row>
    <row r="27" spans="1:9" ht="12.75">
      <c r="A27" s="10" t="s">
        <v>37</v>
      </c>
      <c r="B27" s="16">
        <f t="shared" si="0"/>
        <v>137474.36273073542</v>
      </c>
      <c r="C27" s="16">
        <f t="shared" si="0"/>
        <v>65119.434977716766</v>
      </c>
      <c r="H27" s="16">
        <f>B16*B9*((1/B7*B12*24+1/B7*B13*24)+0.2*(1/B7*B12*24+1/B7*B13*24))/3413</f>
        <v>137474.36273073542</v>
      </c>
      <c r="I27" s="16">
        <f>B16*B9*((1/B8*B12*24+1/B8*B13*24)+0.2*(1/B8*B12*24+1/B8*B13*24))/3413</f>
        <v>65119.434977716766</v>
      </c>
    </row>
    <row r="28" spans="1:9" ht="12.75">
      <c r="A28" s="10" t="s">
        <v>34</v>
      </c>
      <c r="B28" s="17">
        <f t="shared" si="0"/>
        <v>2556873.834056829</v>
      </c>
      <c r="C28" s="18">
        <f t="shared" si="0"/>
        <v>1293642.1154472406</v>
      </c>
      <c r="H28" s="17">
        <f>H27+H27*(1+B17)+H27*(1+B17)^2+H27*(1+B17)^3+H27*(1+B17)^4+H27*(1+B17)^5+H27*(1+B17)^6+H27*(1+B17)^7+H27*(1+B17)^8+H27*(1+B17)^9+H27*(1+B17)^10+H27*(1+B17)^11+H27*(1+B17)^12+H27*(1+B17)^13+H27*(1+B17)^14</f>
        <v>2556873.834056829</v>
      </c>
      <c r="I28" s="18">
        <f>I27+I27*(1+B17)+I27*(1+B17)^2+I27*(1+B17)^3+I27*(1+B17)^4+I27*(1+B17)^5+I27*(1+B17)^6+I27*(1+B17)^7+I27*(1+B17)^8+I27*(1+B17)^8+I27*(1+B17)^9+I27*(1+B17)^10+I27*(1+B17)^11+I27*(1+B17)^12+I27*(1+B17)^13+I27*(1+B17)^14</f>
        <v>1293642.1154472406</v>
      </c>
    </row>
    <row r="29" spans="1:3" ht="12.75">
      <c r="A29" s="10"/>
      <c r="B29" s="15"/>
      <c r="C29" s="13"/>
    </row>
    <row r="30" spans="1:5" ht="12.75">
      <c r="A30" s="10" t="s">
        <v>7</v>
      </c>
      <c r="B30" s="29">
        <f>(H27-I27)</f>
        <v>72354.92775301865</v>
      </c>
      <c r="C30" s="13"/>
      <c r="E30" s="6"/>
    </row>
    <row r="31" spans="1:3" ht="12.75">
      <c r="A31" s="10" t="s">
        <v>36</v>
      </c>
      <c r="B31" s="30">
        <f>(H28-I28)</f>
        <v>1263231.7186095885</v>
      </c>
      <c r="C31" s="13"/>
    </row>
    <row r="32" spans="1:5" ht="12.75">
      <c r="A32" s="10"/>
      <c r="B32" s="14"/>
      <c r="C32" s="13"/>
      <c r="E32" s="25"/>
    </row>
    <row r="33" spans="1:8" ht="12.75">
      <c r="A33" s="10" t="s">
        <v>3</v>
      </c>
      <c r="B33" s="27">
        <f>$H$33</f>
        <v>13.358594271662165</v>
      </c>
      <c r="C33" t="s">
        <v>4</v>
      </c>
      <c r="H33" s="9">
        <f>B20*B9*15/(H28-I28)</f>
        <v>13.358594271662165</v>
      </c>
    </row>
    <row r="36" ht="12.75">
      <c r="B36" s="4"/>
    </row>
  </sheetData>
  <sheetProtection password="F66A"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3.8515625" style="0" customWidth="1"/>
    <col min="2" max="2" width="18.7109375" style="3" bestFit="1" customWidth="1"/>
    <col min="3" max="3" width="12.8515625" style="0" bestFit="1" customWidth="1"/>
    <col min="5" max="5" width="11.7109375" style="0" customWidth="1"/>
    <col min="6" max="6" width="11.140625" style="0" customWidth="1"/>
    <col min="8" max="8" width="12.8515625" style="0" hidden="1" customWidth="1"/>
    <col min="9" max="9" width="11.28125" style="0" hidden="1" customWidth="1"/>
  </cols>
  <sheetData>
    <row r="2" ht="12.75">
      <c r="A2" s="2" t="s">
        <v>10</v>
      </c>
    </row>
    <row r="3" ht="12.75">
      <c r="A3" s="39" t="s">
        <v>45</v>
      </c>
    </row>
    <row r="4" ht="12.75">
      <c r="A4" s="40" t="s">
        <v>6</v>
      </c>
    </row>
    <row r="6" spans="1:2" ht="12.75">
      <c r="A6" t="s">
        <v>8</v>
      </c>
      <c r="B6" s="31">
        <v>9</v>
      </c>
    </row>
    <row r="7" spans="1:2" ht="12.75">
      <c r="A7" t="s">
        <v>9</v>
      </c>
      <c r="B7" s="31">
        <v>19</v>
      </c>
    </row>
    <row r="8" spans="1:3" ht="12.75">
      <c r="A8" t="s">
        <v>29</v>
      </c>
      <c r="B8" s="31">
        <v>150000</v>
      </c>
      <c r="C8" t="s">
        <v>44</v>
      </c>
    </row>
    <row r="9" ht="14.25" customHeight="1">
      <c r="B9" s="7"/>
    </row>
    <row r="10" spans="2:5" ht="12.75">
      <c r="B10" s="7"/>
      <c r="E10" s="1" t="s">
        <v>41</v>
      </c>
    </row>
    <row r="11" spans="1:6" ht="12.75">
      <c r="A11" t="s">
        <v>42</v>
      </c>
      <c r="B11" s="32">
        <v>7131</v>
      </c>
      <c r="E11" s="36" t="s">
        <v>11</v>
      </c>
      <c r="F11" s="37" t="s">
        <v>12</v>
      </c>
    </row>
    <row r="12" spans="1:6" ht="12.75">
      <c r="A12" t="s">
        <v>43</v>
      </c>
      <c r="B12" s="31">
        <v>1661</v>
      </c>
      <c r="D12" s="21" t="s">
        <v>13</v>
      </c>
      <c r="E12" s="35">
        <v>2767</v>
      </c>
      <c r="F12" s="35">
        <v>4786</v>
      </c>
    </row>
    <row r="13" spans="2:6" ht="12.75">
      <c r="B13" s="7"/>
      <c r="C13" t="s">
        <v>28</v>
      </c>
      <c r="D13" s="21" t="s">
        <v>14</v>
      </c>
      <c r="E13" s="35">
        <v>7131</v>
      </c>
      <c r="F13" s="35">
        <v>1661</v>
      </c>
    </row>
    <row r="14" spans="2:36" ht="12.75">
      <c r="B14" s="7"/>
      <c r="D14" s="21" t="s">
        <v>15</v>
      </c>
      <c r="E14" s="35">
        <v>3212</v>
      </c>
      <c r="F14" s="35">
        <v>5040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6" ht="12.75">
      <c r="A15" t="s">
        <v>23</v>
      </c>
      <c r="B15" s="34">
        <v>0.1</v>
      </c>
      <c r="C15" t="s">
        <v>0</v>
      </c>
      <c r="D15" s="21" t="s">
        <v>16</v>
      </c>
      <c r="E15" s="35">
        <v>2928</v>
      </c>
      <c r="F15" s="35">
        <v>4554</v>
      </c>
    </row>
    <row r="16" spans="1:6" ht="12.75">
      <c r="A16" t="s">
        <v>24</v>
      </c>
      <c r="B16" s="34">
        <v>0.08</v>
      </c>
      <c r="C16" t="s">
        <v>27</v>
      </c>
      <c r="D16" s="21" t="s">
        <v>17</v>
      </c>
      <c r="E16" s="35">
        <v>1350</v>
      </c>
      <c r="F16" s="35">
        <v>8425</v>
      </c>
    </row>
    <row r="17" spans="1:6" ht="12.75">
      <c r="A17" t="s">
        <v>25</v>
      </c>
      <c r="B17" s="38">
        <v>0.03</v>
      </c>
      <c r="D17" s="21" t="s">
        <v>18</v>
      </c>
      <c r="E17" s="35">
        <v>4995</v>
      </c>
      <c r="F17" s="35">
        <v>2875</v>
      </c>
    </row>
    <row r="18" spans="1:6" ht="12.75">
      <c r="A18" t="s">
        <v>26</v>
      </c>
      <c r="B18" s="38">
        <v>0.02</v>
      </c>
      <c r="D18" s="26" t="s">
        <v>19</v>
      </c>
      <c r="E18" s="35">
        <v>1678</v>
      </c>
      <c r="F18" s="35">
        <v>6921</v>
      </c>
    </row>
    <row r="19" spans="2:6" ht="12.75">
      <c r="B19" s="8"/>
      <c r="D19" s="21" t="s">
        <v>20</v>
      </c>
      <c r="E19" s="35">
        <v>4776</v>
      </c>
      <c r="F19" s="35">
        <v>3681</v>
      </c>
    </row>
    <row r="20" spans="2:6" ht="12.75">
      <c r="B20" s="20"/>
      <c r="D20" s="21" t="s">
        <v>21</v>
      </c>
      <c r="E20" s="35">
        <v>927</v>
      </c>
      <c r="F20" s="35">
        <v>8897</v>
      </c>
    </row>
    <row r="21" spans="1:4" ht="12.75">
      <c r="A21" t="s">
        <v>30</v>
      </c>
      <c r="B21" s="34">
        <v>7.5</v>
      </c>
      <c r="C21" t="s">
        <v>31</v>
      </c>
      <c r="D21" s="41" t="s">
        <v>47</v>
      </c>
    </row>
    <row r="22" spans="2:4" ht="12.75">
      <c r="B22" s="7"/>
      <c r="D22" s="41" t="s">
        <v>48</v>
      </c>
    </row>
    <row r="25" spans="1:3" ht="12.75">
      <c r="A25" s="4" t="s">
        <v>5</v>
      </c>
      <c r="B25" s="19"/>
      <c r="C25" s="19"/>
    </row>
    <row r="26" spans="2:3" ht="12.75">
      <c r="B26" s="12" t="s">
        <v>1</v>
      </c>
      <c r="C26" s="11" t="s">
        <v>2</v>
      </c>
    </row>
    <row r="27" spans="1:9" ht="12.75">
      <c r="A27" s="10" t="s">
        <v>22</v>
      </c>
      <c r="B27" s="28">
        <f aca="true" t="shared" si="0" ref="B27:C31">H27</f>
        <v>1030413.1262818634</v>
      </c>
      <c r="C27" s="28">
        <f t="shared" si="0"/>
        <v>488090.4282387774</v>
      </c>
      <c r="H27" s="16">
        <f>B8*(1/B6*B11*24+1/B6*B12*24)/3413</f>
        <v>1030413.1262818634</v>
      </c>
      <c r="I27" s="16">
        <f>B8*(1/B7*B11*24+1/B7*B12*24)/3413</f>
        <v>488090.4282387774</v>
      </c>
    </row>
    <row r="28" spans="1:9" ht="12.75">
      <c r="A28" s="23" t="s">
        <v>32</v>
      </c>
      <c r="B28" s="30">
        <f t="shared" si="0"/>
        <v>2281.9199999999996</v>
      </c>
      <c r="C28" s="30">
        <f t="shared" si="0"/>
        <v>1080.9094736842103</v>
      </c>
      <c r="H28" s="24">
        <f>(1/B6*B8*B11*24)/100000*B16</f>
        <v>2281.9199999999996</v>
      </c>
      <c r="I28" s="24">
        <f>(1/B7*B8*B11*24)/100000*B16</f>
        <v>1080.9094736842103</v>
      </c>
    </row>
    <row r="29" spans="1:9" ht="12.75">
      <c r="A29" s="23" t="s">
        <v>33</v>
      </c>
      <c r="B29" s="30">
        <f t="shared" si="0"/>
        <v>19466.744799296805</v>
      </c>
      <c r="C29" s="30">
        <f t="shared" si="0"/>
        <v>9221.089641772172</v>
      </c>
      <c r="H29" s="24">
        <f>(1/B6*B8*B12*24)/3413*B15</f>
        <v>19466.744799296805</v>
      </c>
      <c r="I29" s="24">
        <f>(1/B7*B8*B12*24)/3413*B15</f>
        <v>9221.089641772172</v>
      </c>
    </row>
    <row r="30" spans="1:9" ht="12.75">
      <c r="A30" s="10" t="s">
        <v>35</v>
      </c>
      <c r="B30" s="30">
        <f t="shared" si="0"/>
        <v>21748.664799296803</v>
      </c>
      <c r="C30" s="30">
        <f t="shared" si="0"/>
        <v>10301.999115456383</v>
      </c>
      <c r="H30" s="17">
        <f>SUM(H28:H29)</f>
        <v>21748.664799296803</v>
      </c>
      <c r="I30" s="18">
        <f>SUM(I28:I29)</f>
        <v>10301.999115456383</v>
      </c>
    </row>
    <row r="31" spans="1:9" ht="12.75">
      <c r="A31" s="10" t="s">
        <v>34</v>
      </c>
      <c r="B31" s="30">
        <f t="shared" si="0"/>
        <v>429134.3008416856</v>
      </c>
      <c r="C31" s="30">
        <f t="shared" si="0"/>
        <v>201875.8708418782</v>
      </c>
      <c r="E31" s="6"/>
      <c r="H31" s="17">
        <f>(H28+H28*(1+B18)+H28*(1+B18)^2+H28*(1+B18)^3+H28*(1+B18)^4+H28*(1+B18)^5+H28*(1+B18)^6+H28*(1+B18)^7+H28*(1+B18)^8+H28*(1+B18)^9+H28*(1+B18)^10+H28*(1+B18)^11+H28*(1+B18)^12+H28*(1+B18)^13+H28*(1+B18)^13+H28*(1+B18)^14)+(H29+H29*(1+B17)+H29*(1+B17)^2+H29*(1+B17)^3+H29*(1+B17)^4+H29*(1+B17)^5+H29*(1+B17)^6+H29*(1+B17)^7+H29*(1+B17)^8+H29*(1+B17)^8+H29*(1+B17)^9+H29*(1+B17)^10+H29*(1+B17)^11+H29*(1+B17)^12+H29*(1+B17)^13+H29*(1+B17)^14)</f>
        <v>429134.3008416856</v>
      </c>
      <c r="I31" s="18">
        <f>I28+I28*(1+B18)+I28*(1+B18)^2+I28*(1+B18)^3+I28*(1+B18)^4+I28*(1+B18)^5+I28*(1+B18)^6+I28*(1+B18)^7+I28*(1+B18)^8+I28*(1+B18)^9+I28*(1+B18)^10+I28*(1+B18)^11+I28*(1+B18)^12+I28*(1+B18)^13+I28*(1+B18)^14+I29+I29*(1+B17)+I29*(1+B17)^2+I29*(1+B17)^3+I29*(1+B17)^4+I29*(1+B17)^5+I29*(1+B17)^6+I29*(1+B17)^7+I29*(1+B17)^8+I29*(1+B17)^8+I29*(1+B17)^9+I29*(1+B17)^10+I29*(1+B17)^11+I29*(1+B17)^12+I29*(1+B17)^13+I29*(1+B17)^14</f>
        <v>201875.8708418782</v>
      </c>
    </row>
    <row r="32" spans="1:3" ht="12.75">
      <c r="A32" s="10"/>
      <c r="B32" s="15"/>
      <c r="C32" s="13"/>
    </row>
    <row r="33" spans="1:5" ht="12.75">
      <c r="A33" s="10" t="s">
        <v>7</v>
      </c>
      <c r="B33" s="29">
        <f>(H30-I30)</f>
        <v>11446.66568384042</v>
      </c>
      <c r="C33" s="13"/>
      <c r="E33" s="25"/>
    </row>
    <row r="34" spans="1:3" ht="12.75">
      <c r="A34" s="10" t="s">
        <v>36</v>
      </c>
      <c r="B34" s="30">
        <f>(H31-I31)</f>
        <v>227258.4299998074</v>
      </c>
      <c r="C34" s="13"/>
    </row>
    <row r="35" spans="1:8" ht="12.75">
      <c r="A35" s="10"/>
      <c r="B35" s="14"/>
      <c r="C35" s="13"/>
      <c r="H35" s="9">
        <f>B21*B8*15/(H31-I31)</f>
        <v>74.25467121291959</v>
      </c>
    </row>
    <row r="36" spans="1:3" ht="12.75">
      <c r="A36" s="10" t="s">
        <v>3</v>
      </c>
      <c r="B36" s="9">
        <f>$H$35</f>
        <v>74.25467121291959</v>
      </c>
      <c r="C36" t="s">
        <v>4</v>
      </c>
    </row>
    <row r="39" ht="12.75">
      <c r="B39" s="4"/>
    </row>
  </sheetData>
  <sheetProtection password="F66A" sheet="1" objects="1" scenario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spandey</dc:creator>
  <cp:keywords/>
  <dc:description/>
  <cp:lastModifiedBy>kcampbell</cp:lastModifiedBy>
  <cp:lastPrinted>2007-04-27T16:40:50Z</cp:lastPrinted>
  <dcterms:created xsi:type="dcterms:W3CDTF">2007-04-23T21:10:04Z</dcterms:created>
  <dcterms:modified xsi:type="dcterms:W3CDTF">2007-06-01T17:53:51Z</dcterms:modified>
  <cp:category/>
  <cp:version/>
  <cp:contentType/>
  <cp:contentStatus/>
</cp:coreProperties>
</file>